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c9daeb6dca89b5c/Desktop/Cylicins/"/>
    </mc:Choice>
  </mc:AlternateContent>
  <xr:revisionPtr revIDLastSave="0" documentId="8_{25A3E2EE-ABAE-4474-9593-7A12708DC189}" xr6:coauthVersionLast="47" xr6:coauthVersionMax="47" xr10:uidLastSave="{00000000-0000-0000-0000-000000000000}"/>
  <bookViews>
    <workbookView xWindow="-108" yWindow="-108" windowWidth="23256" windowHeight="12456" xr2:uid="{13DB633A-D9A5-42C6-A798-15811E2F44B2}"/>
  </bookViews>
  <sheets>
    <sheet name="sperm motili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1" l="1"/>
  <c r="I22" i="1" s="1"/>
  <c r="E21" i="1"/>
  <c r="I21" i="1" s="1"/>
  <c r="C21" i="1"/>
  <c r="H21" i="1" s="1"/>
  <c r="I20" i="1"/>
  <c r="G20" i="1"/>
  <c r="E20" i="1"/>
  <c r="C20" i="1"/>
  <c r="H20" i="1" s="1"/>
  <c r="E19" i="1"/>
  <c r="I19" i="1" s="1"/>
  <c r="D19" i="1"/>
  <c r="C19" i="1"/>
  <c r="G19" i="1" s="1"/>
  <c r="E18" i="1"/>
  <c r="I18" i="1" s="1"/>
  <c r="C18" i="1"/>
  <c r="H18" i="1" s="1"/>
  <c r="I17" i="1"/>
  <c r="G17" i="1"/>
  <c r="E17" i="1"/>
  <c r="C17" i="1"/>
  <c r="H17" i="1" s="1"/>
  <c r="E16" i="1"/>
  <c r="I16" i="1" s="1"/>
  <c r="D16" i="1"/>
  <c r="C16" i="1"/>
  <c r="G16" i="1" s="1"/>
  <c r="E15" i="1"/>
  <c r="I15" i="1" s="1"/>
  <c r="D15" i="1"/>
  <c r="H15" i="1" s="1"/>
  <c r="C15" i="1"/>
  <c r="G15" i="1" s="1"/>
  <c r="H14" i="1"/>
  <c r="E14" i="1"/>
  <c r="I14" i="1" s="1"/>
  <c r="D14" i="1"/>
  <c r="C14" i="1"/>
  <c r="G14" i="1" s="1"/>
  <c r="E13" i="1"/>
  <c r="I13" i="1" s="1"/>
  <c r="D13" i="1"/>
  <c r="C13" i="1"/>
  <c r="G13" i="1" s="1"/>
  <c r="E12" i="1"/>
  <c r="G12" i="1" s="1"/>
  <c r="H11" i="1"/>
  <c r="E11" i="1"/>
  <c r="I11" i="1" s="1"/>
  <c r="E10" i="1"/>
  <c r="G10" i="1" s="1"/>
  <c r="H9" i="1"/>
  <c r="E9" i="1"/>
  <c r="I9" i="1" s="1"/>
  <c r="E8" i="1"/>
  <c r="C8" i="1"/>
  <c r="H8" i="1" s="1"/>
  <c r="G7" i="1"/>
  <c r="E7" i="1"/>
  <c r="I7" i="1" s="1"/>
  <c r="D7" i="1"/>
  <c r="H7" i="1" s="1"/>
  <c r="C7" i="1"/>
  <c r="E6" i="1"/>
  <c r="I6" i="1" s="1"/>
  <c r="D6" i="1"/>
  <c r="H6" i="1" s="1"/>
  <c r="C6" i="1"/>
  <c r="G6" i="1" s="1"/>
  <c r="I5" i="1"/>
  <c r="E5" i="1"/>
  <c r="D5" i="1"/>
  <c r="H5" i="1" s="1"/>
  <c r="C5" i="1"/>
  <c r="G5" i="1" s="1"/>
  <c r="M5" i="1" s="1"/>
  <c r="H4" i="1"/>
  <c r="E4" i="1"/>
  <c r="D4" i="1"/>
  <c r="C4" i="1"/>
  <c r="I4" i="1" s="1"/>
  <c r="I3" i="1"/>
  <c r="G3" i="1"/>
  <c r="E3" i="1"/>
  <c r="D3" i="1"/>
  <c r="C3" i="1"/>
  <c r="H3" i="1" s="1"/>
  <c r="I2" i="1"/>
  <c r="G2" i="1"/>
  <c r="E2" i="1"/>
  <c r="D2" i="1"/>
  <c r="H2" i="1" s="1"/>
  <c r="C2" i="1"/>
  <c r="M4" i="1" l="1"/>
  <c r="H13" i="1"/>
  <c r="I8" i="1"/>
  <c r="H10" i="1"/>
  <c r="H12" i="1"/>
  <c r="H16" i="1"/>
  <c r="H19" i="1"/>
  <c r="I10" i="1"/>
  <c r="I12" i="1"/>
  <c r="G18" i="1"/>
  <c r="M7" i="1" s="1"/>
  <c r="G21" i="1"/>
  <c r="M8" i="1" s="1"/>
  <c r="G4" i="1"/>
  <c r="M3" i="1" s="1"/>
  <c r="G9" i="1"/>
  <c r="G11" i="1"/>
  <c r="G22" i="1"/>
  <c r="G8" i="1"/>
  <c r="H22" i="1"/>
  <c r="M6" i="1" l="1"/>
</calcChain>
</file>

<file path=xl/sharedStrings.xml><?xml version="1.0" encoding="utf-8"?>
<sst xmlns="http://schemas.openxmlformats.org/spreadsheetml/2006/main" count="33" uniqueCount="15">
  <si>
    <t>total motile</t>
  </si>
  <si>
    <t>progressive</t>
  </si>
  <si>
    <t xml:space="preserve">non motile </t>
  </si>
  <si>
    <t>%motile</t>
  </si>
  <si>
    <t>%progressive</t>
  </si>
  <si>
    <t>%non motile</t>
  </si>
  <si>
    <t>WT</t>
  </si>
  <si>
    <t>Cylc1 Y/-</t>
  </si>
  <si>
    <t xml:space="preserve"> C2 +/- </t>
  </si>
  <si>
    <t xml:space="preserve"> Cylc2 +/- </t>
  </si>
  <si>
    <t>Cylc2 -/-</t>
  </si>
  <si>
    <t>C1 Y/-; C2 +/-</t>
  </si>
  <si>
    <t>C2 -/-</t>
  </si>
  <si>
    <t>C1 Y/-; C2 -/-</t>
  </si>
  <si>
    <t>C1 Y/-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</si>
</sst>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B8383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quotePrefix="1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01E62-FB5D-45F8-9507-52989119083E}">
  <dimension ref="A1:M22"/>
  <sheetViews>
    <sheetView tabSelected="1" workbookViewId="0">
      <selection activeCell="A11" sqref="A11"/>
    </sheetView>
  </sheetViews>
  <sheetFormatPr defaultRowHeight="14.4"/>
  <cols>
    <col min="2" max="2" width="13" customWidth="1"/>
    <col min="3" max="3" width="11.5546875" customWidth="1"/>
    <col min="4" max="4" width="11.109375" customWidth="1"/>
    <col min="8" max="8" width="11.88671875" customWidth="1"/>
    <col min="12" max="12" width="12" customWidth="1"/>
  </cols>
  <sheetData>
    <row r="1" spans="1:13">
      <c r="C1" t="s">
        <v>0</v>
      </c>
      <c r="D1" t="s">
        <v>1</v>
      </c>
      <c r="E1" t="s">
        <v>2</v>
      </c>
      <c r="G1" t="s">
        <v>3</v>
      </c>
      <c r="H1" t="s">
        <v>4</v>
      </c>
      <c r="I1" t="s">
        <v>5</v>
      </c>
    </row>
    <row r="2" spans="1:13">
      <c r="A2">
        <v>9340</v>
      </c>
      <c r="B2" s="1" t="s">
        <v>6</v>
      </c>
      <c r="C2">
        <f>55+41+38+38+61+61+48+62</f>
        <v>404</v>
      </c>
      <c r="D2">
        <f>14+38+15+18+21+20+16+25</f>
        <v>167</v>
      </c>
      <c r="E2">
        <f>19+18+20+27+34+29+20+20</f>
        <v>187</v>
      </c>
      <c r="G2">
        <f>C2/(C2+E2)%</f>
        <v>68.358714043993231</v>
      </c>
      <c r="H2">
        <f>D2/(C2+E2)%</f>
        <v>28.257191201353638</v>
      </c>
      <c r="I2">
        <f>E2/(E2+C2)%</f>
        <v>31.641285956006769</v>
      </c>
    </row>
    <row r="3" spans="1:13">
      <c r="A3">
        <v>415</v>
      </c>
      <c r="B3" s="1" t="s">
        <v>6</v>
      </c>
      <c r="C3">
        <f>39+29+42+58+66+70+52+46</f>
        <v>402</v>
      </c>
      <c r="D3">
        <f>15+11+16+8+13+20+12+13</f>
        <v>108</v>
      </c>
      <c r="E3">
        <f>19+17+19+21+28+30+29+18</f>
        <v>181</v>
      </c>
      <c r="G3">
        <f>C3/(C3+E3)%</f>
        <v>68.953687821612348</v>
      </c>
      <c r="H3">
        <f>D3/(C3+E3)%</f>
        <v>18.524871355060036</v>
      </c>
      <c r="I3">
        <f t="shared" ref="I3:I6" si="0">E3/(E3+C3)%</f>
        <v>31.046312178387648</v>
      </c>
      <c r="L3" s="1" t="s">
        <v>6</v>
      </c>
      <c r="M3">
        <f>AVERAGE(G2:G4)</f>
        <v>70.092190415571025</v>
      </c>
    </row>
    <row r="4" spans="1:13">
      <c r="A4">
        <v>416</v>
      </c>
      <c r="B4" s="1" t="s">
        <v>6</v>
      </c>
      <c r="C4">
        <f>21+26+64+35+14+19+25+20</f>
        <v>224</v>
      </c>
      <c r="D4">
        <f>3+5+12+6+4+6+5</f>
        <v>41</v>
      </c>
      <c r="E4">
        <f>11+13+19+21+3+5+4+7</f>
        <v>83</v>
      </c>
      <c r="G4">
        <f>C4/(C4+E4)%</f>
        <v>72.964169381107496</v>
      </c>
      <c r="H4">
        <f>D4/(C4+E4)%</f>
        <v>13.355048859934854</v>
      </c>
      <c r="I4">
        <f t="shared" si="0"/>
        <v>27.035830618892511</v>
      </c>
      <c r="L4" s="2" t="s">
        <v>7</v>
      </c>
      <c r="M4">
        <f>AVERAGE(G13:G15)</f>
        <v>65.525815523610746</v>
      </c>
    </row>
    <row r="5" spans="1:13">
      <c r="A5">
        <v>9403</v>
      </c>
      <c r="B5" s="3" t="s">
        <v>8</v>
      </c>
      <c r="C5">
        <f>10+11+19+10+27+10+18</f>
        <v>105</v>
      </c>
      <c r="D5">
        <f>3+2+1+7</f>
        <v>13</v>
      </c>
      <c r="E5">
        <f>8+6+12+5+4+7+3+3</f>
        <v>48</v>
      </c>
      <c r="G5">
        <f t="shared" ref="G5:G6" si="1">C5/(C5+E5)%</f>
        <v>68.627450980392155</v>
      </c>
      <c r="H5">
        <f t="shared" ref="H5:H6" si="2">D5/(C5+E5)%</f>
        <v>8.4967320261437909</v>
      </c>
      <c r="I5">
        <f t="shared" si="0"/>
        <v>31.372549019607842</v>
      </c>
      <c r="L5" s="3" t="s">
        <v>9</v>
      </c>
      <c r="M5">
        <f>AVERAGE(G5:G7)</f>
        <v>67.151169332443999</v>
      </c>
    </row>
    <row r="6" spans="1:13">
      <c r="A6">
        <v>9405</v>
      </c>
      <c r="B6" s="3" t="s">
        <v>8</v>
      </c>
      <c r="C6">
        <f>28+21+34+29+21+15+19+16</f>
        <v>183</v>
      </c>
      <c r="D6">
        <f>13+10+20+11+13+4+8+6</f>
        <v>85</v>
      </c>
      <c r="E6">
        <f>4+10+8+8+16+13+10+22</f>
        <v>91</v>
      </c>
      <c r="G6">
        <f t="shared" si="1"/>
        <v>66.788321167883211</v>
      </c>
      <c r="H6">
        <f t="shared" si="2"/>
        <v>31.021897810218977</v>
      </c>
      <c r="I6">
        <f t="shared" si="0"/>
        <v>33.211678832116789</v>
      </c>
      <c r="L6" s="4" t="s">
        <v>10</v>
      </c>
      <c r="M6">
        <f>AVERAGE(G8:G12)</f>
        <v>7.2692371619341518</v>
      </c>
    </row>
    <row r="7" spans="1:13">
      <c r="A7">
        <v>9489</v>
      </c>
      <c r="B7" s="3" t="s">
        <v>8</v>
      </c>
      <c r="C7">
        <f>37+19+49+45+32+36+24+38</f>
        <v>280</v>
      </c>
      <c r="D7">
        <f>13+1+20+8+10+3+5+11</f>
        <v>71</v>
      </c>
      <c r="E7">
        <f>29+24+18+15+12+23+12+11</f>
        <v>144</v>
      </c>
      <c r="G7">
        <f>C7/(C7+E7)%</f>
        <v>66.037735849056602</v>
      </c>
      <c r="H7">
        <f>D7/(C7+E7)%</f>
        <v>16.745283018867923</v>
      </c>
      <c r="I7">
        <f>E7/(E7+C7)%</f>
        <v>33.962264150943398</v>
      </c>
      <c r="L7" s="5" t="s">
        <v>11</v>
      </c>
      <c r="M7">
        <f>AVERAGE(G16:G20)</f>
        <v>27.052173145065364</v>
      </c>
    </row>
    <row r="8" spans="1:13">
      <c r="A8">
        <v>9487</v>
      </c>
      <c r="B8" s="4" t="s">
        <v>12</v>
      </c>
      <c r="C8">
        <f>3+2+3+4+1+1+2</f>
        <v>16</v>
      </c>
      <c r="D8">
        <v>4</v>
      </c>
      <c r="E8">
        <f>23+26+27+21+18+13+17+23</f>
        <v>168</v>
      </c>
      <c r="G8">
        <f t="shared" ref="G8:G22" si="3">C8/(C8+E8)%</f>
        <v>8.695652173913043</v>
      </c>
      <c r="H8">
        <f t="shared" ref="H8:H22" si="4">D8/(C8+E8)%</f>
        <v>2.1739130434782608</v>
      </c>
      <c r="I8">
        <f t="shared" ref="I8:I22" si="5">E8/(E8+C8)%</f>
        <v>91.304347826086953</v>
      </c>
      <c r="L8" s="6" t="s">
        <v>13</v>
      </c>
      <c r="M8">
        <f>AVERAGE(G21:G22)</f>
        <v>2.3413683091102446</v>
      </c>
    </row>
    <row r="9" spans="1:13">
      <c r="A9">
        <v>9488</v>
      </c>
      <c r="B9" s="4" t="s">
        <v>12</v>
      </c>
      <c r="C9">
        <v>8</v>
      </c>
      <c r="D9">
        <v>2</v>
      </c>
      <c r="E9">
        <f>6+7+16+14+5+10+15+14</f>
        <v>87</v>
      </c>
      <c r="G9">
        <f t="shared" si="3"/>
        <v>8.4210526315789469</v>
      </c>
      <c r="H9">
        <f t="shared" si="4"/>
        <v>2.1052631578947367</v>
      </c>
      <c r="I9">
        <f t="shared" si="5"/>
        <v>91.578947368421055</v>
      </c>
    </row>
    <row r="10" spans="1:13">
      <c r="A10">
        <v>9490</v>
      </c>
      <c r="B10" s="4" t="s">
        <v>12</v>
      </c>
      <c r="C10">
        <v>8</v>
      </c>
      <c r="D10">
        <v>0</v>
      </c>
      <c r="E10">
        <f>27+12+21+19+13+20+11+10</f>
        <v>133</v>
      </c>
      <c r="G10">
        <f t="shared" si="3"/>
        <v>5.6737588652482271</v>
      </c>
      <c r="H10">
        <f t="shared" si="4"/>
        <v>0</v>
      </c>
      <c r="I10">
        <f t="shared" si="5"/>
        <v>94.326241134751783</v>
      </c>
    </row>
    <row r="11" spans="1:13">
      <c r="B11" s="4" t="s">
        <v>12</v>
      </c>
      <c r="C11">
        <v>12</v>
      </c>
      <c r="D11">
        <v>3</v>
      </c>
      <c r="E11">
        <f>23+28+24+37+21+16+18+28</f>
        <v>195</v>
      </c>
      <c r="G11">
        <f t="shared" si="3"/>
        <v>5.7971014492753632</v>
      </c>
      <c r="H11">
        <f t="shared" si="4"/>
        <v>1.4492753623188408</v>
      </c>
      <c r="I11">
        <f t="shared" si="5"/>
        <v>94.20289855072464</v>
      </c>
    </row>
    <row r="12" spans="1:13">
      <c r="A12">
        <v>9493</v>
      </c>
      <c r="B12" s="4" t="s">
        <v>12</v>
      </c>
      <c r="C12">
        <v>9</v>
      </c>
      <c r="D12">
        <v>1</v>
      </c>
      <c r="E12">
        <f>12+7+9+15+17+10+18+19</f>
        <v>107</v>
      </c>
      <c r="G12">
        <f t="shared" si="3"/>
        <v>7.7586206896551726</v>
      </c>
      <c r="H12">
        <f t="shared" si="4"/>
        <v>0.86206896551724144</v>
      </c>
      <c r="I12">
        <f t="shared" si="5"/>
        <v>92.24137931034484</v>
      </c>
    </row>
    <row r="13" spans="1:13">
      <c r="A13">
        <v>9352</v>
      </c>
      <c r="B13" s="2" t="s">
        <v>14</v>
      </c>
      <c r="C13">
        <f>18+36+31+26+49+53+47+48</f>
        <v>308</v>
      </c>
      <c r="D13">
        <f>18+20+22+13+17+23+21+13</f>
        <v>147</v>
      </c>
      <c r="E13">
        <f>23+27+31+18+18+26+18+14</f>
        <v>175</v>
      </c>
      <c r="G13">
        <f t="shared" si="3"/>
        <v>63.768115942028984</v>
      </c>
      <c r="H13">
        <f t="shared" si="4"/>
        <v>30.434782608695652</v>
      </c>
      <c r="I13">
        <f t="shared" si="5"/>
        <v>36.231884057971016</v>
      </c>
    </row>
    <row r="14" spans="1:13">
      <c r="A14">
        <v>9350</v>
      </c>
      <c r="B14" s="2" t="s">
        <v>14</v>
      </c>
      <c r="C14">
        <f>15+14+36+23+14+28+16+12</f>
        <v>158</v>
      </c>
      <c r="D14">
        <f>5+6+6+10+3+13+6+5</f>
        <v>54</v>
      </c>
      <c r="E14">
        <f>8+10+12+11+10+15+3+5</f>
        <v>74</v>
      </c>
      <c r="G14">
        <f t="shared" si="3"/>
        <v>68.103448275862078</v>
      </c>
      <c r="H14">
        <f t="shared" si="4"/>
        <v>23.27586206896552</v>
      </c>
      <c r="I14">
        <f t="shared" si="5"/>
        <v>31.896551724137932</v>
      </c>
    </row>
    <row r="15" spans="1:13">
      <c r="A15">
        <v>9598</v>
      </c>
      <c r="B15" s="2" t="s">
        <v>14</v>
      </c>
      <c r="C15">
        <f>12+18+28+20+21+23+29+14</f>
        <v>165</v>
      </c>
      <c r="D15">
        <f>3+3+7+4+2+5+3+2</f>
        <v>29</v>
      </c>
      <c r="E15">
        <f>8+10+11+15+14+8+15+9</f>
        <v>90</v>
      </c>
      <c r="G15">
        <f t="shared" si="3"/>
        <v>64.705882352941174</v>
      </c>
      <c r="H15">
        <f t="shared" si="4"/>
        <v>11.372549019607844</v>
      </c>
      <c r="I15">
        <f t="shared" si="5"/>
        <v>35.294117647058826</v>
      </c>
    </row>
    <row r="16" spans="1:13">
      <c r="A16">
        <v>9491</v>
      </c>
      <c r="B16" s="5" t="s">
        <v>11</v>
      </c>
      <c r="C16">
        <f>10+8+12+13+6+7+5+11</f>
        <v>72</v>
      </c>
      <c r="D16">
        <f>3+5+2</f>
        <v>10</v>
      </c>
      <c r="E16">
        <f>27+13+36+28+10+21+14+20</f>
        <v>169</v>
      </c>
      <c r="G16">
        <f t="shared" si="3"/>
        <v>29.875518672199167</v>
      </c>
      <c r="H16">
        <f t="shared" si="4"/>
        <v>4.1493775933609953</v>
      </c>
      <c r="I16">
        <f t="shared" si="5"/>
        <v>70.124481327800822</v>
      </c>
    </row>
    <row r="17" spans="1:9">
      <c r="A17">
        <v>9492</v>
      </c>
      <c r="B17" s="5" t="s">
        <v>11</v>
      </c>
      <c r="C17">
        <f>29+17+33+28+23+15+7+11</f>
        <v>163</v>
      </c>
      <c r="D17">
        <v>18</v>
      </c>
      <c r="E17">
        <f>40+33+37+43+48+38+37+41</f>
        <v>317</v>
      </c>
      <c r="G17">
        <f t="shared" si="3"/>
        <v>33.958333333333336</v>
      </c>
      <c r="H17">
        <f t="shared" si="4"/>
        <v>3.75</v>
      </c>
      <c r="I17">
        <f t="shared" si="5"/>
        <v>66.041666666666671</v>
      </c>
    </row>
    <row r="18" spans="1:9">
      <c r="A18">
        <v>9596</v>
      </c>
      <c r="B18" s="5" t="s">
        <v>11</v>
      </c>
      <c r="C18">
        <f>3+1+2+3+3+4+5+3</f>
        <v>24</v>
      </c>
      <c r="D18">
        <v>0</v>
      </c>
      <c r="E18">
        <f>9+14+12+16+6+20+11+12</f>
        <v>100</v>
      </c>
      <c r="G18">
        <f t="shared" si="3"/>
        <v>19.35483870967742</v>
      </c>
      <c r="H18">
        <f t="shared" si="4"/>
        <v>0</v>
      </c>
      <c r="I18">
        <f t="shared" si="5"/>
        <v>80.645161290322577</v>
      </c>
    </row>
    <row r="19" spans="1:9">
      <c r="A19">
        <v>9597</v>
      </c>
      <c r="B19" s="5" t="s">
        <v>11</v>
      </c>
      <c r="C19">
        <f>39+29+15+7+11+5+9+7</f>
        <v>122</v>
      </c>
      <c r="D19">
        <f>10+2+5</f>
        <v>17</v>
      </c>
      <c r="E19">
        <f>43+39+51+22+50+38+31+22</f>
        <v>296</v>
      </c>
      <c r="G19">
        <f t="shared" si="3"/>
        <v>29.186602870813399</v>
      </c>
      <c r="H19">
        <f t="shared" si="4"/>
        <v>4.0669856459330145</v>
      </c>
      <c r="I19">
        <f t="shared" si="5"/>
        <v>70.813397129186612</v>
      </c>
    </row>
    <row r="20" spans="1:9">
      <c r="A20">
        <v>9661</v>
      </c>
      <c r="B20" s="5" t="s">
        <v>11</v>
      </c>
      <c r="C20">
        <f>2+9+7+5+2+11+1+9</f>
        <v>46</v>
      </c>
      <c r="D20">
        <v>1</v>
      </c>
      <c r="E20">
        <f>20+19+32+18+20+17+15+14</f>
        <v>155</v>
      </c>
      <c r="G20">
        <f t="shared" si="3"/>
        <v>22.885572139303484</v>
      </c>
      <c r="H20">
        <f t="shared" si="4"/>
        <v>0.49751243781094534</v>
      </c>
      <c r="I20">
        <f t="shared" si="5"/>
        <v>77.114427860696523</v>
      </c>
    </row>
    <row r="21" spans="1:9">
      <c r="A21">
        <v>9659</v>
      </c>
      <c r="B21" s="6" t="s">
        <v>13</v>
      </c>
      <c r="C21">
        <f>5</f>
        <v>5</v>
      </c>
      <c r="D21">
        <v>0</v>
      </c>
      <c r="E21">
        <f>32+29+35+32+12+12+6+19</f>
        <v>177</v>
      </c>
      <c r="G21">
        <f t="shared" si="3"/>
        <v>2.7472527472527473</v>
      </c>
      <c r="H21">
        <f t="shared" si="4"/>
        <v>0</v>
      </c>
      <c r="I21">
        <f t="shared" si="5"/>
        <v>97.252747252747255</v>
      </c>
    </row>
    <row r="22" spans="1:9">
      <c r="A22">
        <v>9660</v>
      </c>
      <c r="B22" s="6" t="s">
        <v>13</v>
      </c>
      <c r="C22">
        <v>3</v>
      </c>
      <c r="D22">
        <v>0</v>
      </c>
      <c r="E22">
        <f>22+12+14+17+25+21+20+21</f>
        <v>152</v>
      </c>
      <c r="G22">
        <f t="shared" si="3"/>
        <v>1.9354838709677418</v>
      </c>
      <c r="H22">
        <f t="shared" si="4"/>
        <v>0</v>
      </c>
      <c r="I22">
        <f t="shared" si="5"/>
        <v>98.064516129032256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sperm motility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2022-08-04T06:53:41Z</dcterms:created>
  <dcterms:modified xsi:type="dcterms:W3CDTF">2022-08-04T06:54:17Z</dcterms:modified>
</cp:coreProperties>
</file>